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<sst xmlns="http://schemas.openxmlformats.org/spreadsheetml/2006/main" count="1600" uniqueCount="315">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</sst>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88" sqref="E88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311</v>
      </c>
      <c r="N3" s="241" t="s">
        <v>312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307</v>
      </c>
      <c r="F4" s="243" t="s">
        <v>116</v>
      </c>
      <c r="G4" s="245" t="s">
        <v>308</v>
      </c>
      <c r="H4" s="247" t="s">
        <v>309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314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310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509335.34</v>
      </c>
      <c r="G8" s="18">
        <f aca="true" t="shared" si="0" ref="G8:G54">F8-E8</f>
        <v>5809.869999999995</v>
      </c>
      <c r="H8" s="45">
        <f>F8/E8*100</f>
        <v>101.15383835498928</v>
      </c>
      <c r="I8" s="31">
        <f aca="true" t="shared" si="1" ref="I8:I54">F8-D8</f>
        <v>-62953.659999999974</v>
      </c>
      <c r="J8" s="31">
        <f aca="true" t="shared" si="2" ref="J8:J14">F8/D8*100</f>
        <v>88.99967324201585</v>
      </c>
      <c r="K8" s="18">
        <f>K9+K15+K18+K19+K20+K32</f>
        <v>108110.49800000002</v>
      </c>
      <c r="L8" s="18"/>
      <c r="M8" s="18">
        <f>M9+M15+M18+M19+M20+M32+M17</f>
        <v>44772.97000000001</v>
      </c>
      <c r="N8" s="18">
        <f>N9+N15+N18+N19+N20+N32+N17</f>
        <v>28456.090000000047</v>
      </c>
      <c r="O8" s="31">
        <f aca="true" t="shared" si="3" ref="O8:O54">N8-M8</f>
        <v>-16316.879999999961</v>
      </c>
      <c r="P8" s="31">
        <f>F8/M8*100</f>
        <v>1137.595607349702</v>
      </c>
      <c r="Q8" s="31">
        <f>N8-33748.16</f>
        <v>-5292.069999999956</v>
      </c>
      <c r="R8" s="125">
        <f>N8/33748.16</f>
        <v>0.8431893768430647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283057.65</v>
      </c>
      <c r="G9" s="43">
        <f t="shared" si="0"/>
        <v>13192.530000000028</v>
      </c>
      <c r="H9" s="35">
        <f aca="true" t="shared" si="4" ref="H9:H32">F9/E9*100</f>
        <v>104.88856433169282</v>
      </c>
      <c r="I9" s="50">
        <f t="shared" si="1"/>
        <v>-29632.349999999977</v>
      </c>
      <c r="J9" s="50">
        <f t="shared" si="2"/>
        <v>90.52340976686175</v>
      </c>
      <c r="K9" s="132">
        <f>F9-316022.19/75*60</f>
        <v>30239.898000000016</v>
      </c>
      <c r="L9" s="132">
        <f>F9/(316022.19/75*60)*100</f>
        <v>111.961145038581</v>
      </c>
      <c r="M9" s="35">
        <f>E9-вересень!E9</f>
        <v>21250.570000000007</v>
      </c>
      <c r="N9" s="35">
        <f>F9-вересень!F9</f>
        <v>18682.24000000005</v>
      </c>
      <c r="O9" s="47">
        <f t="shared" si="3"/>
        <v>-2568.329999999958</v>
      </c>
      <c r="P9" s="50">
        <f aca="true" t="shared" si="5" ref="P9:P32">N9/M9*100</f>
        <v>87.91406536389397</v>
      </c>
      <c r="Q9" s="132">
        <f>N9-26568.11</f>
        <v>-7885.869999999952</v>
      </c>
      <c r="R9" s="133">
        <f>N9/26568.11</f>
        <v>0.7031828760118822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250837.39</v>
      </c>
      <c r="G10" s="135">
        <f t="shared" si="0"/>
        <v>14876.570000000007</v>
      </c>
      <c r="H10" s="137">
        <f t="shared" si="4"/>
        <v>106.30467803934569</v>
      </c>
      <c r="I10" s="136">
        <f t="shared" si="1"/>
        <v>10427.390000000014</v>
      </c>
      <c r="J10" s="136">
        <f t="shared" si="2"/>
        <v>104.33733621729546</v>
      </c>
      <c r="K10" s="138">
        <f>F10-281171.58/75*60</f>
        <v>25900.12600000002</v>
      </c>
      <c r="L10" s="138">
        <f>F10/(281171.58/75*60)*100</f>
        <v>111.5143776266435</v>
      </c>
      <c r="M10" s="137">
        <f>E10-вересень!E10</f>
        <v>17470.570000000007</v>
      </c>
      <c r="N10" s="137">
        <f>F10-вересень!F10</f>
        <v>16900.910000000003</v>
      </c>
      <c r="O10" s="138">
        <f t="shared" si="3"/>
        <v>-569.6600000000035</v>
      </c>
      <c r="P10" s="136">
        <f t="shared" si="5"/>
        <v>96.73931646191278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14659.04</v>
      </c>
      <c r="G11" s="135">
        <f t="shared" si="0"/>
        <v>-4258.860000000001</v>
      </c>
      <c r="H11" s="137">
        <f t="shared" si="4"/>
        <v>77.48767040739195</v>
      </c>
      <c r="I11" s="136">
        <f t="shared" si="1"/>
        <v>-9040.96</v>
      </c>
      <c r="J11" s="136">
        <f t="shared" si="2"/>
        <v>61.8524894514768</v>
      </c>
      <c r="K11" s="138">
        <f>F11-21169.22/75*60</f>
        <v>-2276.336000000003</v>
      </c>
      <c r="L11" s="138">
        <f>F11/(21169.22/75*60)*100</f>
        <v>86.5586922900324</v>
      </c>
      <c r="M11" s="137">
        <f>E11-вересень!E11</f>
        <v>2130</v>
      </c>
      <c r="N11" s="137">
        <f>F11-вересень!F11</f>
        <v>656.3500000000004</v>
      </c>
      <c r="O11" s="138">
        <f t="shared" si="3"/>
        <v>-1473.6499999999996</v>
      </c>
      <c r="P11" s="136">
        <f t="shared" si="5"/>
        <v>30.814553990610342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4052.08</v>
      </c>
      <c r="G12" s="135">
        <f t="shared" si="0"/>
        <v>-396.9200000000001</v>
      </c>
      <c r="H12" s="137">
        <f t="shared" si="4"/>
        <v>91.07844459429086</v>
      </c>
      <c r="I12" s="136">
        <f t="shared" si="1"/>
        <v>-1747.92</v>
      </c>
      <c r="J12" s="136">
        <f t="shared" si="2"/>
        <v>69.86344827586207</v>
      </c>
      <c r="K12" s="138">
        <f>F12-5687.46/75*60</f>
        <v>-497.88800000000083</v>
      </c>
      <c r="L12" s="138">
        <f>F12/(5687.46*60)*100</f>
        <v>1.1874310617862223</v>
      </c>
      <c r="M12" s="137">
        <f>E12-вересень!E12</f>
        <v>540</v>
      </c>
      <c r="N12" s="137">
        <f>F12-вересень!F12</f>
        <v>307.44000000000005</v>
      </c>
      <c r="O12" s="138">
        <f t="shared" si="3"/>
        <v>-232.55999999999995</v>
      </c>
      <c r="P12" s="136">
        <f t="shared" si="5"/>
        <v>56.933333333333344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5946.17</v>
      </c>
      <c r="G13" s="135">
        <f t="shared" si="0"/>
        <v>-997.2299999999996</v>
      </c>
      <c r="H13" s="137">
        <f t="shared" si="4"/>
        <v>85.63772791427832</v>
      </c>
      <c r="I13" s="136">
        <f t="shared" si="1"/>
        <v>-2453.83</v>
      </c>
      <c r="J13" s="136">
        <f t="shared" si="2"/>
        <v>70.7877380952381</v>
      </c>
      <c r="K13" s="138">
        <f>F13-7878.81/75*60</f>
        <v>-356.8780000000006</v>
      </c>
      <c r="L13" s="138">
        <f>F13/(7878.81/75*60)*100</f>
        <v>94.33800916635887</v>
      </c>
      <c r="M13" s="137">
        <f>E13-вересень!E13</f>
        <v>720</v>
      </c>
      <c r="N13" s="137">
        <f>F13-вересень!F13</f>
        <v>215.9300000000003</v>
      </c>
      <c r="O13" s="138">
        <f t="shared" si="3"/>
        <v>-504.0699999999997</v>
      </c>
      <c r="P13" s="136">
        <f t="shared" si="5"/>
        <v>29.99027777777782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7562.97</v>
      </c>
      <c r="G14" s="135">
        <f t="shared" si="0"/>
        <v>3968.9700000000003</v>
      </c>
      <c r="H14" s="137">
        <f t="shared" si="4"/>
        <v>210.4332220367279</v>
      </c>
      <c r="I14" s="136">
        <f t="shared" si="1"/>
        <v>3182.9700000000003</v>
      </c>
      <c r="J14" s="136">
        <f t="shared" si="2"/>
        <v>172.6705479452055</v>
      </c>
      <c r="K14" s="138">
        <f>F14-115.12/75*60</f>
        <v>7470.874</v>
      </c>
      <c r="L14" s="138">
        <f>F14/(115.12/75*60)*100</f>
        <v>8212.050469075748</v>
      </c>
      <c r="M14" s="137">
        <f>E14-вересень!E14</f>
        <v>390</v>
      </c>
      <c r="N14" s="137">
        <f>F14-вересень!F14</f>
        <v>601.6100000000006</v>
      </c>
      <c r="O14" s="138">
        <f t="shared" si="3"/>
        <v>211.61000000000058</v>
      </c>
      <c r="P14" s="136">
        <f t="shared" si="5"/>
        <v>154.2589743589745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-614.03</v>
      </c>
      <c r="G15" s="43">
        <f t="shared" si="0"/>
        <v>-785.43</v>
      </c>
      <c r="H15" s="35"/>
      <c r="I15" s="50">
        <f t="shared" si="1"/>
        <v>-614.03</v>
      </c>
      <c r="J15" s="50" t="e">
        <f>F15/D15*100</f>
        <v>#DIV/0!</v>
      </c>
      <c r="K15" s="53">
        <f>F15-(-880.89)</f>
        <v>266.86</v>
      </c>
      <c r="L15" s="53">
        <f>F15/(-880.89)*100</f>
        <v>69.70563861549115</v>
      </c>
      <c r="M15" s="35">
        <f>E15-вересень!E15</f>
        <v>0</v>
      </c>
      <c r="N15" s="35">
        <f>F15-вересень!F15</f>
        <v>52.66000000000008</v>
      </c>
      <c r="O15" s="47">
        <f t="shared" si="3"/>
        <v>52.66000000000008</v>
      </c>
      <c r="P15" s="50"/>
      <c r="Q15" s="50">
        <f>N15-358.81</f>
        <v>-306.1499999999999</v>
      </c>
      <c r="R15" s="126">
        <f>N15/358.81</f>
        <v>0.14676291073269998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0.14</v>
      </c>
      <c r="G17" s="135"/>
      <c r="H17" s="137"/>
      <c r="I17" s="136"/>
      <c r="J17" s="136"/>
      <c r="K17" s="138">
        <f>F17-0.04</f>
        <v>0.1</v>
      </c>
      <c r="L17" s="138"/>
      <c r="M17" s="35">
        <f>E17-вересень!E17</f>
        <v>0</v>
      </c>
      <c r="N17" s="35">
        <f>F17-вересень!F17</f>
        <v>0.05000000000000002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51968.13</v>
      </c>
      <c r="G19" s="43">
        <f t="shared" si="0"/>
        <v>-5554.620000000003</v>
      </c>
      <c r="H19" s="35">
        <f t="shared" si="4"/>
        <v>90.3436118753015</v>
      </c>
      <c r="I19" s="50">
        <f t="shared" si="1"/>
        <v>-10241.870000000003</v>
      </c>
      <c r="J19" s="178">
        <f>F19/D19*100</f>
        <v>83.53661790708888</v>
      </c>
      <c r="K19" s="179">
        <f>F19-0</f>
        <v>51968.13</v>
      </c>
      <c r="L19" s="180"/>
      <c r="M19" s="35">
        <f>E19-вересень!E19</f>
        <v>6800</v>
      </c>
      <c r="N19" s="35">
        <f>F19-вересень!F19</f>
        <v>499.25999999999476</v>
      </c>
      <c r="O19" s="47">
        <f t="shared" si="3"/>
        <v>-6300.740000000005</v>
      </c>
      <c r="P19" s="50">
        <f t="shared" si="5"/>
        <v>7.342058823529335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169323.19</v>
      </c>
      <c r="G20" s="43">
        <f t="shared" si="0"/>
        <v>-870.7099999999919</v>
      </c>
      <c r="H20" s="35">
        <f t="shared" si="4"/>
        <v>99.48840117066476</v>
      </c>
      <c r="I20" s="50">
        <f t="shared" si="1"/>
        <v>-20546.809999999998</v>
      </c>
      <c r="J20" s="178">
        <f aca="true" t="shared" si="6" ref="J20:J46">F20/D20*100</f>
        <v>89.1784852794017</v>
      </c>
      <c r="K20" s="178">
        <f>K21+K25+K26+K27</f>
        <v>27417.62000000001</v>
      </c>
      <c r="L20" s="136"/>
      <c r="M20" s="35">
        <f>E20-вересень!E20</f>
        <v>16715.5</v>
      </c>
      <c r="N20" s="35">
        <f>F20-вересень!F20</f>
        <v>9216.600000000006</v>
      </c>
      <c r="O20" s="47">
        <f t="shared" si="3"/>
        <v>-7498.899999999994</v>
      </c>
      <c r="P20" s="50">
        <f t="shared" si="5"/>
        <v>55.13804552660707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91703.49</v>
      </c>
      <c r="G21" s="43">
        <f t="shared" si="0"/>
        <v>-4578.909999999989</v>
      </c>
      <c r="H21" s="35">
        <f t="shared" si="4"/>
        <v>95.24429179164625</v>
      </c>
      <c r="I21" s="50">
        <f t="shared" si="1"/>
        <v>-18596.509999999995</v>
      </c>
      <c r="J21" s="178">
        <f t="shared" si="6"/>
        <v>83.14006346328196</v>
      </c>
      <c r="K21" s="178">
        <f>K22+K23+K24</f>
        <v>22999.65</v>
      </c>
      <c r="L21" s="136"/>
      <c r="M21" s="35">
        <f>E21-вересень!E21</f>
        <v>10382</v>
      </c>
      <c r="N21" s="35">
        <f>F21-вересень!F21</f>
        <v>2724.170000000013</v>
      </c>
      <c r="O21" s="47">
        <f t="shared" si="3"/>
        <v>-7657.829999999987</v>
      </c>
      <c r="P21" s="50">
        <f t="shared" si="5"/>
        <v>26.239356578694018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10103.5</v>
      </c>
      <c r="G22" s="135">
        <f t="shared" si="0"/>
        <v>-541.8999999999996</v>
      </c>
      <c r="H22" s="137">
        <f t="shared" si="4"/>
        <v>94.9095383921694</v>
      </c>
      <c r="I22" s="136">
        <f t="shared" si="1"/>
        <v>-596.5</v>
      </c>
      <c r="J22" s="136">
        <f t="shared" si="6"/>
        <v>94.42523364485982</v>
      </c>
      <c r="K22" s="136">
        <f>F22-437</f>
        <v>9666.5</v>
      </c>
      <c r="L22" s="136">
        <f>F22/437*100</f>
        <v>2312.013729977117</v>
      </c>
      <c r="M22" s="137">
        <f>E22-вересень!E22</f>
        <v>1851</v>
      </c>
      <c r="N22" s="137">
        <f>F22-вересень!F22</f>
        <v>971.8199999999997</v>
      </c>
      <c r="O22" s="138">
        <f t="shared" si="3"/>
        <v>-879.1800000000003</v>
      </c>
      <c r="P22" s="136">
        <f t="shared" si="5"/>
        <v>52.502431118314405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3395.74</v>
      </c>
      <c r="G23" s="135">
        <f t="shared" si="0"/>
        <v>1303.7399999999998</v>
      </c>
      <c r="H23" s="137">
        <f t="shared" si="4"/>
        <v>162.32026768642447</v>
      </c>
      <c r="I23" s="136">
        <f t="shared" si="1"/>
        <v>1295.7399999999998</v>
      </c>
      <c r="J23" s="136">
        <f t="shared" si="6"/>
        <v>161.70190476190476</v>
      </c>
      <c r="K23" s="136">
        <f>F23-0</f>
        <v>3395.74</v>
      </c>
      <c r="L23" s="136"/>
      <c r="M23" s="137">
        <f>E23-вересень!E23</f>
        <v>305</v>
      </c>
      <c r="N23" s="137">
        <f>F23-вересень!F23</f>
        <v>62.10999999999967</v>
      </c>
      <c r="O23" s="138">
        <f t="shared" si="3"/>
        <v>-242.89000000000033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78204.25</v>
      </c>
      <c r="G24" s="135">
        <f t="shared" si="0"/>
        <v>-5340.75</v>
      </c>
      <c r="H24" s="137">
        <f t="shared" si="4"/>
        <v>93.60733736309773</v>
      </c>
      <c r="I24" s="136">
        <f t="shared" si="1"/>
        <v>-19295.75</v>
      </c>
      <c r="J24" s="136">
        <f t="shared" si="6"/>
        <v>80.20948717948718</v>
      </c>
      <c r="K24" s="224">
        <f>F24-68266.84</f>
        <v>9937.410000000003</v>
      </c>
      <c r="L24" s="224">
        <f>F24/68266.84*100</f>
        <v>114.55671596927586</v>
      </c>
      <c r="M24" s="137">
        <f>E24-вересень!E24</f>
        <v>8226</v>
      </c>
      <c r="N24" s="137">
        <f>F24-вересень!F24</f>
        <v>1690.2400000000052</v>
      </c>
      <c r="O24" s="138">
        <f t="shared" si="3"/>
        <v>-6535.759999999995</v>
      </c>
      <c r="P24" s="136">
        <f t="shared" si="5"/>
        <v>20.547532214928342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-729.81</v>
      </c>
      <c r="G26" s="43">
        <f t="shared" si="0"/>
        <v>-729.81</v>
      </c>
      <c r="H26" s="35"/>
      <c r="I26" s="50">
        <f t="shared" si="1"/>
        <v>-729.81</v>
      </c>
      <c r="J26" s="136"/>
      <c r="K26" s="178">
        <f>F26-5295.66</f>
        <v>-6025.469999999999</v>
      </c>
      <c r="L26" s="178">
        <f>F26/5295.66*100</f>
        <v>-13.7812850522881</v>
      </c>
      <c r="M26" s="35">
        <f>E26-вересень!E26</f>
        <v>0</v>
      </c>
      <c r="N26" s="35">
        <f>F26-вересень!F26</f>
        <v>-23.829999999999927</v>
      </c>
      <c r="O26" s="47">
        <f t="shared" si="3"/>
        <v>-23.829999999999927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78293.66</v>
      </c>
      <c r="G27" s="43">
        <f t="shared" si="0"/>
        <v>4433.6600000000035</v>
      </c>
      <c r="H27" s="35">
        <f t="shared" si="4"/>
        <v>106.00278906038452</v>
      </c>
      <c r="I27" s="50">
        <f t="shared" si="1"/>
        <v>-1206.3399999999965</v>
      </c>
      <c r="J27" s="178">
        <f t="shared" si="6"/>
        <v>98.48259119496856</v>
      </c>
      <c r="K27" s="132">
        <f>F27-67857.28</f>
        <v>10436.380000000005</v>
      </c>
      <c r="L27" s="132">
        <f>F27/67857.28*100</f>
        <v>115.37989733747065</v>
      </c>
      <c r="M27" s="35">
        <f>E27-вересень!E27</f>
        <v>6323.5</v>
      </c>
      <c r="N27" s="35">
        <f>F27-вересень!F27</f>
        <v>6516.260000000009</v>
      </c>
      <c r="O27" s="47">
        <f t="shared" si="3"/>
        <v>192.7600000000093</v>
      </c>
      <c r="P27" s="50">
        <f t="shared" si="5"/>
        <v>103.04831185261341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18532.5</v>
      </c>
      <c r="G29" s="135">
        <f t="shared" si="0"/>
        <v>452.5</v>
      </c>
      <c r="H29" s="137">
        <f t="shared" si="4"/>
        <v>102.50276548672565</v>
      </c>
      <c r="I29" s="136">
        <f t="shared" si="1"/>
        <v>-667.5</v>
      </c>
      <c r="J29" s="136">
        <f t="shared" si="6"/>
        <v>96.5234375</v>
      </c>
      <c r="K29" s="139">
        <f>F29-18415.97</f>
        <v>116.52999999999884</v>
      </c>
      <c r="L29" s="139">
        <f>F29/18415.97*100</f>
        <v>100.63276601775524</v>
      </c>
      <c r="M29" s="137">
        <f>E29-вересень!E29</f>
        <v>1300</v>
      </c>
      <c r="N29" s="137">
        <f>F29-вересень!F29</f>
        <v>792.7400000000016</v>
      </c>
      <c r="O29" s="138">
        <f t="shared" si="3"/>
        <v>-507.2599999999984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59739.49</v>
      </c>
      <c r="G30" s="135">
        <f t="shared" si="0"/>
        <v>3959.489999999998</v>
      </c>
      <c r="H30" s="137">
        <f t="shared" si="4"/>
        <v>107.098404446038</v>
      </c>
      <c r="I30" s="136">
        <f t="shared" si="1"/>
        <v>-560.510000000002</v>
      </c>
      <c r="J30" s="136">
        <f t="shared" si="6"/>
        <v>99.07046434494195</v>
      </c>
      <c r="K30" s="139">
        <f>F30-49440.11</f>
        <v>10299.379999999997</v>
      </c>
      <c r="L30" s="139">
        <f>F30/49440.11*100</f>
        <v>120.83203293843803</v>
      </c>
      <c r="M30" s="137">
        <f>E30-вересень!E30</f>
        <v>5023.5</v>
      </c>
      <c r="N30" s="137">
        <f>F30-вересень!F30</f>
        <v>5723.519999999997</v>
      </c>
      <c r="O30" s="138">
        <f t="shared" si="3"/>
        <v>700.0199999999968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5584.46</v>
      </c>
      <c r="G32" s="43">
        <f t="shared" si="0"/>
        <v>-174.84000000000015</v>
      </c>
      <c r="H32" s="35">
        <f t="shared" si="4"/>
        <v>96.96421440105568</v>
      </c>
      <c r="I32" s="50">
        <f t="shared" si="1"/>
        <v>-1915.54</v>
      </c>
      <c r="J32" s="178">
        <f t="shared" si="6"/>
        <v>74.45946666666666</v>
      </c>
      <c r="K32" s="178">
        <f>F32-7378.96</f>
        <v>-1794.5</v>
      </c>
      <c r="L32" s="178">
        <f>F32/7378.96*100</f>
        <v>75.68085475459957</v>
      </c>
      <c r="M32" s="35">
        <f>E32-вересень!E32</f>
        <v>6.900000000000546</v>
      </c>
      <c r="N32" s="35">
        <f>F32-вересень!F32</f>
        <v>5.279999999999745</v>
      </c>
      <c r="O32" s="47">
        <f t="shared" si="3"/>
        <v>-1.6200000000008004</v>
      </c>
      <c r="P32" s="50">
        <f t="shared" si="5"/>
        <v>76.52173913042503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34365.6</v>
      </c>
      <c r="G33" s="44">
        <f t="shared" si="0"/>
        <v>1815.329999999998</v>
      </c>
      <c r="H33" s="45">
        <f aca="true" t="shared" si="7" ref="H33:H38">F33/E33*100</f>
        <v>105.57700443037798</v>
      </c>
      <c r="I33" s="31">
        <f t="shared" si="1"/>
        <v>-1273.9700000000012</v>
      </c>
      <c r="J33" s="31">
        <f t="shared" si="6"/>
        <v>96.4254058059623</v>
      </c>
      <c r="K33" s="18">
        <f>K34+K35+K36+K37+K38+K41+K42+K47+K48+K52+K40</f>
        <v>23577.43</v>
      </c>
      <c r="L33" s="18"/>
      <c r="M33" s="18">
        <f>M34+M35+M36+M37+M38+M41+M42+M47+M48+M52+M40+M39</f>
        <v>5900.27</v>
      </c>
      <c r="N33" s="18">
        <f>N34+N35+N36+N37+N38+N41+N42+N47+N48+N52+N40+N39</f>
        <v>6120.969999999999</v>
      </c>
      <c r="O33" s="49">
        <f t="shared" si="3"/>
        <v>220.6999999999989</v>
      </c>
      <c r="P33" s="31">
        <f>N33/M33*100</f>
        <v>103.74050679036719</v>
      </c>
      <c r="Q33" s="31">
        <f>N33-1017.63</f>
        <v>5103.339999999999</v>
      </c>
      <c r="R33" s="127">
        <f>N33/1017.63</f>
        <v>6.014926839814077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330.71</v>
      </c>
      <c r="G36" s="43">
        <f t="shared" si="0"/>
        <v>90.70999999999998</v>
      </c>
      <c r="H36" s="35">
        <f t="shared" si="7"/>
        <v>137.79583333333332</v>
      </c>
      <c r="I36" s="50">
        <f t="shared" si="1"/>
        <v>90.70999999999998</v>
      </c>
      <c r="J36" s="50"/>
      <c r="K36" s="50">
        <f>F36-279.6</f>
        <v>51.10999999999996</v>
      </c>
      <c r="L36" s="50">
        <f>F36/279.6*100</f>
        <v>118.2796852646638</v>
      </c>
      <c r="M36" s="35">
        <f>E36-вересень!E36</f>
        <v>0</v>
      </c>
      <c r="N36" s="35">
        <f>F36-вересень!F36</f>
        <v>8.729999999999961</v>
      </c>
      <c r="O36" s="47">
        <f t="shared" si="3"/>
        <v>8.729999999999961</v>
      </c>
      <c r="P36" s="50"/>
      <c r="Q36" s="50">
        <f>N36-4.23</f>
        <v>4.499999999999961</v>
      </c>
      <c r="R36" s="126">
        <f>N36/4.23</f>
        <v>2.063829787234033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120.53</v>
      </c>
      <c r="G38" s="43">
        <f t="shared" si="0"/>
        <v>0.5300000000000011</v>
      </c>
      <c r="H38" s="35">
        <f t="shared" si="7"/>
        <v>100.44166666666668</v>
      </c>
      <c r="I38" s="50">
        <f t="shared" si="1"/>
        <v>-19.47</v>
      </c>
      <c r="J38" s="50">
        <f t="shared" si="6"/>
        <v>86.09285714285716</v>
      </c>
      <c r="K38" s="50">
        <f>F38-112.45</f>
        <v>8.079999999999998</v>
      </c>
      <c r="L38" s="50">
        <f>F38/112.45*100</f>
        <v>107.18541574032902</v>
      </c>
      <c r="M38" s="35">
        <f>E38-вересень!E38</f>
        <v>15</v>
      </c>
      <c r="N38" s="35">
        <f>F38-вересень!F38</f>
        <v>3.4200000000000017</v>
      </c>
      <c r="O38" s="47">
        <f t="shared" si="3"/>
        <v>-11.579999999999998</v>
      </c>
      <c r="P38" s="50">
        <f>N38/M38*100</f>
        <v>22.80000000000001</v>
      </c>
      <c r="Q38" s="50">
        <f>N38-9.02</f>
        <v>-5.599999999999998</v>
      </c>
      <c r="R38" s="126">
        <f>N38/9.02</f>
        <v>0.37915742793791596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8085.21</v>
      </c>
      <c r="G40" s="43">
        <f t="shared" si="0"/>
        <v>-751.79</v>
      </c>
      <c r="H40" s="35">
        <f aca="true" t="shared" si="8" ref="H40:H46">F40/E40*100</f>
        <v>91.4927011429218</v>
      </c>
      <c r="I40" s="50">
        <f t="shared" si="1"/>
        <v>-914.79</v>
      </c>
      <c r="J40" s="50"/>
      <c r="K40" s="50">
        <f>F40-0</f>
        <v>8085.21</v>
      </c>
      <c r="L40" s="50"/>
      <c r="M40" s="35">
        <f>E40-вересень!E40</f>
        <v>900</v>
      </c>
      <c r="N40" s="35">
        <f>F40-вересень!F40</f>
        <v>479.75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5995.97</v>
      </c>
      <c r="G42" s="43">
        <f t="shared" si="0"/>
        <v>-395.3299999999999</v>
      </c>
      <c r="H42" s="35">
        <f t="shared" si="8"/>
        <v>93.81456041806831</v>
      </c>
      <c r="I42" s="50">
        <f t="shared" si="1"/>
        <v>-1104.0299999999997</v>
      </c>
      <c r="J42" s="50">
        <f t="shared" si="6"/>
        <v>84.45028169014086</v>
      </c>
      <c r="K42" s="50">
        <f>F42-865.17</f>
        <v>5130.8</v>
      </c>
      <c r="L42" s="50">
        <f>F42/865.17*100</f>
        <v>693.0395182449693</v>
      </c>
      <c r="M42" s="35">
        <f>E42-вересень!E42</f>
        <v>592.3000000000002</v>
      </c>
      <c r="N42" s="35">
        <f>F42-вересень!F42</f>
        <v>274.02000000000044</v>
      </c>
      <c r="O42" s="47">
        <f t="shared" si="3"/>
        <v>-318.27999999999975</v>
      </c>
      <c r="P42" s="50">
        <f>N42/M42*100</f>
        <v>46.26371771061968</v>
      </c>
      <c r="Q42" s="50">
        <f>N42-79.51</f>
        <v>194.51000000000045</v>
      </c>
      <c r="R42" s="126">
        <f>N42/79.51</f>
        <v>3.4463589485599346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838.17</v>
      </c>
      <c r="G43" s="135">
        <f t="shared" si="0"/>
        <v>-71.83000000000004</v>
      </c>
      <c r="H43" s="35">
        <f t="shared" si="8"/>
        <v>92.1065934065934</v>
      </c>
      <c r="I43" s="136">
        <f t="shared" si="1"/>
        <v>-261.83000000000004</v>
      </c>
      <c r="J43" s="136">
        <f t="shared" si="6"/>
        <v>76.19727272727272</v>
      </c>
      <c r="K43" s="136">
        <f>F43-757.36</f>
        <v>80.80999999999995</v>
      </c>
      <c r="L43" s="136">
        <f>F43/757.36*100</f>
        <v>110.66995880426744</v>
      </c>
      <c r="M43" s="137">
        <f>E43-вересень!E43</f>
        <v>70</v>
      </c>
      <c r="N43" s="137">
        <f>F43-вересень!F43</f>
        <v>36.32999999999993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5112.98</v>
      </c>
      <c r="G46" s="135">
        <f t="shared" si="0"/>
        <v>-297.02000000000044</v>
      </c>
      <c r="H46" s="35">
        <f t="shared" si="8"/>
        <v>94.50979667282809</v>
      </c>
      <c r="I46" s="136">
        <f t="shared" si="1"/>
        <v>-805.0200000000004</v>
      </c>
      <c r="J46" s="136">
        <f t="shared" si="6"/>
        <v>86.39709361270698</v>
      </c>
      <c r="K46" s="136">
        <f>F46-107.81</f>
        <v>5005.169999999999</v>
      </c>
      <c r="L46" s="136">
        <f>F46/107.81*100</f>
        <v>4742.584175864947</v>
      </c>
      <c r="M46" s="137">
        <f>E46-вересень!E46</f>
        <v>512</v>
      </c>
      <c r="N46" s="137">
        <f>F46-вересень!F46</f>
        <v>237.6899999999996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3937.85</v>
      </c>
      <c r="G48" s="43">
        <f t="shared" si="0"/>
        <v>487.8499999999999</v>
      </c>
      <c r="H48" s="35">
        <f>F48/E48*100</f>
        <v>114.14057971014493</v>
      </c>
      <c r="I48" s="50">
        <f t="shared" si="1"/>
        <v>-262.1500000000001</v>
      </c>
      <c r="J48" s="50">
        <f>F48/D48*100</f>
        <v>93.75833333333333</v>
      </c>
      <c r="K48" s="50">
        <f>F48-3446.94</f>
        <v>490.90999999999985</v>
      </c>
      <c r="L48" s="50">
        <f>F48/3446.94*100</f>
        <v>114.24190731489378</v>
      </c>
      <c r="M48" s="35">
        <f>E48-вересень!E48</f>
        <v>360</v>
      </c>
      <c r="N48" s="35">
        <f>F48-вересень!F48</f>
        <v>366.4000000000001</v>
      </c>
      <c r="O48" s="47">
        <f t="shared" si="3"/>
        <v>6.400000000000091</v>
      </c>
      <c r="P48" s="50">
        <f aca="true" t="shared" si="9" ref="P48:P53">N48/M48*100</f>
        <v>101.77777777777781</v>
      </c>
      <c r="Q48" s="50">
        <f>N48-277.38</f>
        <v>89.0200000000001</v>
      </c>
      <c r="R48" s="126">
        <f>N48/277.38</f>
        <v>1.3209315740139884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1035.5</v>
      </c>
      <c r="G51" s="135">
        <f t="shared" si="0"/>
        <v>1035.5</v>
      </c>
      <c r="H51" s="137"/>
      <c r="I51" s="136">
        <f t="shared" si="1"/>
        <v>1035.5</v>
      </c>
      <c r="J51" s="136"/>
      <c r="K51" s="219">
        <f>F51-838.39</f>
        <v>197.11</v>
      </c>
      <c r="L51" s="219">
        <f>F51/838.39*100</f>
        <v>123.51053805508177</v>
      </c>
      <c r="M51" s="35">
        <f>E51-вересень!E51</f>
        <v>0</v>
      </c>
      <c r="N51" s="35">
        <f>F51-вересень!F51</f>
        <v>56.299999999999955</v>
      </c>
      <c r="O51" s="138">
        <f t="shared" si="3"/>
        <v>56.299999999999955</v>
      </c>
      <c r="P51" s="136"/>
      <c r="Q51" s="50">
        <f>N51-64.93</f>
        <v>-8.630000000000052</v>
      </c>
      <c r="R51" s="126">
        <f>N51/64.93</f>
        <v>0.8670876328353604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543719.6700000002</v>
      </c>
      <c r="G55" s="44">
        <f>F55-E55</f>
        <v>7622.330000000191</v>
      </c>
      <c r="H55" s="45">
        <f>F55/E55*100</f>
        <v>101.42181828397064</v>
      </c>
      <c r="I55" s="31">
        <f>F55-D55</f>
        <v>-64235.39999999979</v>
      </c>
      <c r="J55" s="31">
        <f>F55/D55*100</f>
        <v>89.43418631248527</v>
      </c>
      <c r="K55" s="31">
        <f>K8+K33+K53+K54</f>
        <v>131684.578</v>
      </c>
      <c r="L55" s="31">
        <f>F55/(F55-K55)*100</f>
        <v>131.9595540663318</v>
      </c>
      <c r="M55" s="18">
        <f>M8+M33+M53+M54</f>
        <v>50675.44</v>
      </c>
      <c r="N55" s="18">
        <f>N8+N33+N53+N54</f>
        <v>34581.06000000005</v>
      </c>
      <c r="O55" s="49">
        <f>N55-M55</f>
        <v>-16094.379999999954</v>
      </c>
      <c r="P55" s="31">
        <f>N55/M55*100</f>
        <v>68.24027576277591</v>
      </c>
      <c r="Q55" s="31">
        <f>N55-34768</f>
        <v>-186.9399999999514</v>
      </c>
      <c r="R55" s="171">
        <f>N55/34768</f>
        <v>0.9946232167510368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-54.75</v>
      </c>
      <c r="G61" s="43">
        <f aca="true" t="shared" si="10" ref="G61:G68">F61-E61</f>
        <v>-54.75</v>
      </c>
      <c r="H61" s="35"/>
      <c r="I61" s="53">
        <f aca="true" t="shared" si="11" ref="I61:I68">F61-D61</f>
        <v>-54.75</v>
      </c>
      <c r="J61" s="53"/>
      <c r="K61" s="47">
        <f>F61-263.25</f>
        <v>-318</v>
      </c>
      <c r="L61" s="53"/>
      <c r="M61" s="35">
        <v>0</v>
      </c>
      <c r="N61" s="36">
        <f>F61-вересень!F61</f>
        <v>-3.049999999999997</v>
      </c>
      <c r="O61" s="47">
        <f aca="true" t="shared" si="12" ref="O61:O68">N61-M61</f>
        <v>-3.049999999999997</v>
      </c>
      <c r="P61" s="53"/>
      <c r="Q61" s="53">
        <f>N61-24.53</f>
        <v>-27.58</v>
      </c>
      <c r="R61" s="129">
        <f>N61/24.53</f>
        <v>-0.12433754586220942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-54.75</v>
      </c>
      <c r="G62" s="55">
        <f t="shared" si="10"/>
        <v>-54.75</v>
      </c>
      <c r="H62" s="65"/>
      <c r="I62" s="54">
        <f t="shared" si="11"/>
        <v>-54.75</v>
      </c>
      <c r="J62" s="54"/>
      <c r="K62" s="54">
        <f>K60+K61</f>
        <v>-318</v>
      </c>
      <c r="L62" s="54"/>
      <c r="M62" s="55">
        <f>M61</f>
        <v>0</v>
      </c>
      <c r="N62" s="33">
        <f>SUM(N60:N61)</f>
        <v>-3.049999999999997</v>
      </c>
      <c r="O62" s="54">
        <f t="shared" si="12"/>
        <v>-3.049999999999997</v>
      </c>
      <c r="P62" s="54"/>
      <c r="Q62" s="54">
        <f>N62-92.85</f>
        <v>-95.89999999999999</v>
      </c>
      <c r="R62" s="130">
        <f>N62/92.85</f>
        <v>-0.03284868066774364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593.11</v>
      </c>
      <c r="G64" s="43">
        <f t="shared" si="10"/>
        <v>-1006.89</v>
      </c>
      <c r="H64" s="35"/>
      <c r="I64" s="53">
        <f t="shared" si="11"/>
        <v>-1906.8899999999999</v>
      </c>
      <c r="J64" s="53">
        <f t="shared" si="13"/>
        <v>23.724400000000003</v>
      </c>
      <c r="K64" s="53">
        <f>F64-1754.79</f>
        <v>-1161.6799999999998</v>
      </c>
      <c r="L64" s="53">
        <f>F64/1754.79*100</f>
        <v>33.79948597837918</v>
      </c>
      <c r="M64" s="35">
        <f>E64-вересень!E64</f>
        <v>0</v>
      </c>
      <c r="N64" s="35">
        <f>F64-вересень!F64</f>
        <v>0.009999999999990905</v>
      </c>
      <c r="O64" s="47">
        <f t="shared" si="12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7122.63</v>
      </c>
      <c r="G65" s="43">
        <f t="shared" si="10"/>
        <v>386.65000000000055</v>
      </c>
      <c r="H65" s="35">
        <f>F65/E65*100</f>
        <v>105.74007048714516</v>
      </c>
      <c r="I65" s="53">
        <f t="shared" si="11"/>
        <v>-4453.37</v>
      </c>
      <c r="J65" s="53">
        <f t="shared" si="13"/>
        <v>61.52928472702143</v>
      </c>
      <c r="K65" s="53">
        <f>F65-2762.1</f>
        <v>4360.530000000001</v>
      </c>
      <c r="L65" s="53">
        <f>F65/2762.1*100</f>
        <v>257.8700988378408</v>
      </c>
      <c r="M65" s="35">
        <f>E65-вересень!E65</f>
        <v>1273.8199999999997</v>
      </c>
      <c r="N65" s="35">
        <f>F65-вересень!F65</f>
        <v>3135</v>
      </c>
      <c r="O65" s="47">
        <f t="shared" si="12"/>
        <v>1861.1800000000003</v>
      </c>
      <c r="P65" s="53">
        <f>N65/M65*100</f>
        <v>246.1101254494356</v>
      </c>
      <c r="Q65" s="53">
        <f>N65-450.01</f>
        <v>2684.99</v>
      </c>
      <c r="R65" s="129">
        <f>N65/450.01</f>
        <v>6.966511855292104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1879.08</v>
      </c>
      <c r="G66" s="43">
        <f t="shared" si="10"/>
        <v>546.1799999999998</v>
      </c>
      <c r="H66" s="35">
        <f>F66/E66*100</f>
        <v>140.97681746567633</v>
      </c>
      <c r="I66" s="53">
        <f t="shared" si="11"/>
        <v>-1120.92</v>
      </c>
      <c r="J66" s="53">
        <f t="shared" si="13"/>
        <v>62.636</v>
      </c>
      <c r="K66" s="53">
        <f>F66-1134.02</f>
        <v>745.06</v>
      </c>
      <c r="L66" s="53">
        <f>F66/1134.02*100</f>
        <v>165.70078129133526</v>
      </c>
      <c r="M66" s="35">
        <f>E66-вересень!E66</f>
        <v>148.10000000000014</v>
      </c>
      <c r="N66" s="35">
        <f>F66-вересень!F66</f>
        <v>20</v>
      </c>
      <c r="O66" s="47">
        <f t="shared" si="12"/>
        <v>-128.10000000000014</v>
      </c>
      <c r="P66" s="53">
        <f>N66/M66*100</f>
        <v>13.504388926401067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9594.82</v>
      </c>
      <c r="G67" s="55">
        <f t="shared" si="10"/>
        <v>-74.05999999999949</v>
      </c>
      <c r="H67" s="65">
        <f>F67/E67*100</f>
        <v>99.23403744797743</v>
      </c>
      <c r="I67" s="54">
        <f t="shared" si="11"/>
        <v>-7481.18</v>
      </c>
      <c r="J67" s="54">
        <f t="shared" si="13"/>
        <v>56.18892012180838</v>
      </c>
      <c r="K67" s="54">
        <f>K64+K65+K66</f>
        <v>3943.9100000000008</v>
      </c>
      <c r="L67" s="54"/>
      <c r="M67" s="55">
        <f>M64+M65+M66</f>
        <v>1421.9199999999998</v>
      </c>
      <c r="N67" s="55">
        <f>N64+N65+N66</f>
        <v>3155.01</v>
      </c>
      <c r="O67" s="54">
        <f t="shared" si="12"/>
        <v>1733.0900000000004</v>
      </c>
      <c r="P67" s="54">
        <f>N67/M67*100</f>
        <v>221.8837909305728</v>
      </c>
      <c r="Q67" s="54">
        <f>N67-7985.28</f>
        <v>-4830.2699999999995</v>
      </c>
      <c r="R67" s="173">
        <f>N67/7985.28</f>
        <v>0.39510323996152924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29.66</v>
      </c>
      <c r="G72" s="43">
        <f>F72-E72</f>
        <v>-3.7600000000000016</v>
      </c>
      <c r="H72" s="35">
        <f>F72/E72*100</f>
        <v>88.74925194494314</v>
      </c>
      <c r="I72" s="53">
        <f>F72-D72</f>
        <v>-12.34</v>
      </c>
      <c r="J72" s="53">
        <f>F72/D72*100</f>
        <v>70.61904761904762</v>
      </c>
      <c r="K72" s="53">
        <f>F72-33.03</f>
        <v>-3.370000000000001</v>
      </c>
      <c r="L72" s="53">
        <f>F72/33.03*100</f>
        <v>89.7971541023312</v>
      </c>
      <c r="M72" s="35">
        <f>E72-вересень!E72</f>
        <v>1.2000000000000028</v>
      </c>
      <c r="N72" s="35">
        <f>F72-вересень!F72</f>
        <v>0.4400000000000013</v>
      </c>
      <c r="O72" s="47">
        <f>N72-M72</f>
        <v>-0.7600000000000016</v>
      </c>
      <c r="P72" s="53">
        <f>N72/M72*100</f>
        <v>36.666666666666686</v>
      </c>
      <c r="Q72" s="53">
        <f>N72-0.45</f>
        <v>-0.009999999999998732</v>
      </c>
      <c r="R72" s="129">
        <f>N72/0.45</f>
        <v>0.9777777777777806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9571.28</v>
      </c>
      <c r="G74" s="44">
        <f>F74-E74</f>
        <v>-180.01999999999862</v>
      </c>
      <c r="H74" s="45">
        <f>F74/E74*100</f>
        <v>98.15388717401784</v>
      </c>
      <c r="I74" s="31">
        <f>F74-D74</f>
        <v>-7600.719999999999</v>
      </c>
      <c r="J74" s="31">
        <f>F74/D74*100</f>
        <v>55.73771255532263</v>
      </c>
      <c r="K74" s="31">
        <f>K62+K67+K71+K72</f>
        <v>3568.110000000001</v>
      </c>
      <c r="L74" s="31"/>
      <c r="M74" s="27">
        <f>M62+M72+M67+M71</f>
        <v>1435.12</v>
      </c>
      <c r="N74" s="27">
        <f>N62+N72+N67+N71+N73</f>
        <v>3152.4</v>
      </c>
      <c r="O74" s="31">
        <f>N74-M74</f>
        <v>1717.2800000000002</v>
      </c>
      <c r="P74" s="31">
        <f>N74/M74*100</f>
        <v>219.6610736384414</v>
      </c>
      <c r="Q74" s="31">
        <f>N74-8104.96</f>
        <v>-4952.5599999999995</v>
      </c>
      <c r="R74" s="127">
        <f>N74/8104.96</f>
        <v>0.38894701516108654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553290.9500000002</v>
      </c>
      <c r="G75" s="44">
        <f>F75-E75</f>
        <v>7442.310000000172</v>
      </c>
      <c r="H75" s="45">
        <f>F75/E75*100</f>
        <v>101.36343840666161</v>
      </c>
      <c r="I75" s="31">
        <f>F75-D75</f>
        <v>-71836.11999999976</v>
      </c>
      <c r="J75" s="31">
        <f>F75/D75*100</f>
        <v>88.50855714822912</v>
      </c>
      <c r="K75" s="31">
        <f>K55+K74</f>
        <v>135252.68800000002</v>
      </c>
      <c r="L75" s="31">
        <f>F75/(F75-K75)*100</f>
        <v>132.35414082742503</v>
      </c>
      <c r="M75" s="18">
        <f>M55+M74</f>
        <v>52110.560000000005</v>
      </c>
      <c r="N75" s="18">
        <f>N55+N74</f>
        <v>37733.46000000005</v>
      </c>
      <c r="O75" s="31">
        <f>N75-M75</f>
        <v>-14377.099999999955</v>
      </c>
      <c r="P75" s="31">
        <f>N75/M75*100</f>
        <v>72.41039052353312</v>
      </c>
      <c r="Q75" s="31">
        <f>N75-42872.96</f>
        <v>-5139.499999999949</v>
      </c>
      <c r="R75" s="127">
        <f>N75/42872.96</f>
        <v>0.8801225760945839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8</v>
      </c>
      <c r="D77" s="4" t="s">
        <v>118</v>
      </c>
    </row>
    <row r="78" spans="2:17" ht="31.5">
      <c r="B78" s="71" t="s">
        <v>154</v>
      </c>
      <c r="C78" s="34">
        <f>IF(O55&lt;0,ABS(O55/C77),0)</f>
        <v>2011.7974999999942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42297</v>
      </c>
      <c r="D79" s="34">
        <v>2797.7</v>
      </c>
      <c r="G79" s="4" t="s">
        <v>166</v>
      </c>
      <c r="N79" s="252"/>
      <c r="O79" s="252"/>
    </row>
    <row r="80" spans="3:15" ht="15.75">
      <c r="C80" s="111">
        <v>42296</v>
      </c>
      <c r="D80" s="34">
        <v>2642.9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42293</v>
      </c>
      <c r="D81" s="34">
        <v>3408.4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10.8056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220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219</v>
      </c>
      <c r="F4" s="243" t="s">
        <v>116</v>
      </c>
      <c r="G4" s="245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51"/>
      <c r="H102" s="251"/>
      <c r="I102" s="251"/>
      <c r="J102" s="25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52"/>
      <c r="O103" s="252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52"/>
      <c r="O104" s="252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52"/>
      <c r="O105" s="252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60" t="s">
        <v>160</v>
      </c>
      <c r="C107" s="261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53"/>
      <c r="H108" s="253"/>
      <c r="I108" s="90"/>
      <c r="J108" s="91"/>
      <c r="K108" s="91"/>
      <c r="L108" s="91"/>
    </row>
    <row r="109" spans="2:12" ht="22.5" customHeight="1" hidden="1">
      <c r="B109" s="262" t="s">
        <v>167</v>
      </c>
      <c r="C109" s="263"/>
      <c r="D109" s="110">
        <v>0</v>
      </c>
      <c r="E109" s="70" t="s">
        <v>104</v>
      </c>
      <c r="G109" s="253"/>
      <c r="H109" s="253"/>
      <c r="I109" s="90"/>
      <c r="J109" s="91"/>
      <c r="K109" s="91"/>
      <c r="L109" s="91"/>
    </row>
    <row r="110" spans="4:15" ht="15.75">
      <c r="D110" s="105"/>
      <c r="N110" s="253"/>
      <c r="O110" s="253"/>
    </row>
    <row r="111" spans="4:15" ht="15.75">
      <c r="D111" s="104"/>
      <c r="I111" s="34"/>
      <c r="N111" s="264"/>
      <c r="O111" s="264"/>
    </row>
    <row r="112" spans="14:15" ht="15.75">
      <c r="N112" s="253"/>
      <c r="O112" s="25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28" t="s">
        <v>193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203</v>
      </c>
      <c r="C3" s="233" t="s">
        <v>0</v>
      </c>
      <c r="D3" s="234" t="s">
        <v>190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187</v>
      </c>
      <c r="N3" s="241" t="s">
        <v>175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153</v>
      </c>
      <c r="F4" s="243" t="s">
        <v>116</v>
      </c>
      <c r="G4" s="245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39"/>
      <c r="N4" s="255" t="s">
        <v>194</v>
      </c>
      <c r="O4" s="276" t="s">
        <v>136</v>
      </c>
      <c r="P4" s="241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75"/>
      <c r="I5" s="277"/>
      <c r="J5" s="280"/>
      <c r="K5" s="226" t="s">
        <v>188</v>
      </c>
      <c r="L5" s="227"/>
      <c r="M5" s="240"/>
      <c r="N5" s="256"/>
      <c r="O5" s="277"/>
      <c r="P5" s="241"/>
      <c r="Q5" s="226" t="s">
        <v>176</v>
      </c>
      <c r="R5" s="227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51"/>
      <c r="H137" s="251"/>
      <c r="I137" s="251"/>
      <c r="J137" s="25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52"/>
      <c r="O138" s="252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52"/>
      <c r="O139" s="252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52"/>
      <c r="O140" s="252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60" t="s">
        <v>160</v>
      </c>
      <c r="C142" s="261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53"/>
      <c r="H143" s="253"/>
      <c r="I143" s="90"/>
      <c r="J143" s="91"/>
      <c r="K143" s="91"/>
      <c r="L143" s="91"/>
    </row>
    <row r="144" spans="2:12" ht="22.5" customHeight="1" hidden="1">
      <c r="B144" s="262" t="s">
        <v>167</v>
      </c>
      <c r="C144" s="263"/>
      <c r="D144" s="110">
        <v>0</v>
      </c>
      <c r="E144" s="70" t="s">
        <v>104</v>
      </c>
      <c r="G144" s="253"/>
      <c r="H144" s="253"/>
      <c r="I144" s="90"/>
      <c r="J144" s="91"/>
      <c r="K144" s="91"/>
      <c r="L144" s="91"/>
    </row>
    <row r="145" spans="4:15" ht="15.75">
      <c r="D145" s="105"/>
      <c r="N145" s="253"/>
      <c r="O145" s="253"/>
    </row>
    <row r="146" spans="4:15" ht="15.75">
      <c r="D146" s="104"/>
      <c r="I146" s="34"/>
      <c r="N146" s="264"/>
      <c r="O146" s="264"/>
    </row>
    <row r="147" spans="14:15" ht="15.75">
      <c r="N147" s="253"/>
      <c r="O147" s="25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4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305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303</v>
      </c>
      <c r="N3" s="241" t="s">
        <v>304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298</v>
      </c>
      <c r="F4" s="243" t="s">
        <v>116</v>
      </c>
      <c r="G4" s="245" t="s">
        <v>299</v>
      </c>
      <c r="H4" s="247" t="s">
        <v>300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306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302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88.70000000000005</v>
      </c>
      <c r="O51" s="138">
        <f t="shared" si="3"/>
        <v>88.70000000000005</v>
      </c>
      <c r="P51" s="136"/>
      <c r="Q51" s="50">
        <f>N51-64.93</f>
        <v>23.77000000000004</v>
      </c>
      <c r="R51" s="126">
        <f>N51/64.93</f>
        <v>1.366086554751271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52"/>
      <c r="O79" s="252"/>
    </row>
    <row r="80" spans="3:15" ht="15.75">
      <c r="C80" s="111">
        <v>42276</v>
      </c>
      <c r="D80" s="34">
        <v>6511.1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42275</v>
      </c>
      <c r="D81" s="34">
        <v>4229.6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f>1507100.82/1000</f>
        <v>1507.10082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2" sqref="F5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293</v>
      </c>
      <c r="N3" s="241" t="s">
        <v>294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291</v>
      </c>
      <c r="F4" s="243" t="s">
        <v>116</v>
      </c>
      <c r="G4" s="245" t="s">
        <v>292</v>
      </c>
      <c r="H4" s="247" t="s">
        <v>301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297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295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890.5</v>
      </c>
      <c r="G51" s="135">
        <f t="shared" si="0"/>
        <v>890.5</v>
      </c>
      <c r="H51" s="137"/>
      <c r="I51" s="136">
        <f t="shared" si="1"/>
        <v>890.5</v>
      </c>
      <c r="J51" s="136"/>
      <c r="K51" s="219">
        <f>F51-635.8</f>
        <v>254.70000000000005</v>
      </c>
      <c r="L51" s="219">
        <f>F51/635.8*100</f>
        <v>140.059767222397</v>
      </c>
      <c r="M51" s="137">
        <f>E51-липень!E51</f>
        <v>0</v>
      </c>
      <c r="N51" s="137">
        <f>F51-липень!F51</f>
        <v>207.29999999999995</v>
      </c>
      <c r="O51" s="138">
        <f t="shared" si="3"/>
        <v>207.29999999999995</v>
      </c>
      <c r="P51" s="136"/>
      <c r="Q51" s="50">
        <f>N51-64.93</f>
        <v>142.36999999999995</v>
      </c>
      <c r="R51" s="126">
        <f>N51/64.93</f>
        <v>3.192669028184197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52"/>
      <c r="O79" s="252"/>
    </row>
    <row r="80" spans="3:15" ht="15.75">
      <c r="C80" s="111">
        <v>42244</v>
      </c>
      <c r="D80" s="34">
        <v>8323.9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42243</v>
      </c>
      <c r="D81" s="34">
        <v>4177.3</v>
      </c>
      <c r="F81" s="90"/>
      <c r="G81" s="253"/>
      <c r="H81" s="253"/>
      <c r="I81" s="177"/>
      <c r="J81" s="258"/>
      <c r="K81" s="258"/>
      <c r="L81" s="258"/>
      <c r="M81" s="258"/>
      <c r="N81" s="252"/>
      <c r="O81" s="252"/>
    </row>
    <row r="82" spans="3:13" ht="15.75" customHeight="1">
      <c r="C82" s="111"/>
      <c r="F82" s="90"/>
      <c r="G82" s="259"/>
      <c r="H82" s="259"/>
      <c r="I82" s="221"/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2162.07</v>
      </c>
      <c r="E83" s="220"/>
      <c r="F83" s="222"/>
      <c r="G83" s="253"/>
      <c r="H83" s="253"/>
      <c r="I83" s="223"/>
      <c r="J83" s="254"/>
      <c r="K83" s="254"/>
      <c r="L83" s="254"/>
      <c r="M83" s="254"/>
    </row>
    <row r="84" spans="6:12" ht="9.75" customHeight="1">
      <c r="F84" s="90"/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F85" s="90"/>
      <c r="G85" s="253"/>
      <c r="H85" s="253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285</v>
      </c>
      <c r="N3" s="241" t="s">
        <v>286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282</v>
      </c>
      <c r="F4" s="243" t="s">
        <v>116</v>
      </c>
      <c r="G4" s="245" t="s">
        <v>283</v>
      </c>
      <c r="H4" s="247" t="s">
        <v>284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290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287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52"/>
      <c r="O79" s="252"/>
    </row>
    <row r="80" spans="3:15" ht="15.75">
      <c r="C80" s="111">
        <v>42215</v>
      </c>
      <c r="D80" s="34">
        <v>7239.9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3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29"/>
      <c r="C2" s="229"/>
      <c r="D2" s="229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277</v>
      </c>
      <c r="N3" s="241" t="s">
        <v>278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279</v>
      </c>
      <c r="F4" s="268" t="s">
        <v>116</v>
      </c>
      <c r="G4" s="245" t="s">
        <v>275</v>
      </c>
      <c r="H4" s="247" t="s">
        <v>276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281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69"/>
      <c r="G5" s="246"/>
      <c r="H5" s="248"/>
      <c r="I5" s="250"/>
      <c r="J5" s="240"/>
      <c r="K5" s="226" t="s">
        <v>288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52"/>
      <c r="O79" s="252"/>
    </row>
    <row r="80" spans="3:15" ht="15.75">
      <c r="C80" s="111">
        <v>42181</v>
      </c>
      <c r="D80" s="34">
        <v>8722.4</v>
      </c>
      <c r="F80" s="217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3:13" ht="15.75" customHeight="1">
      <c r="C82" s="111"/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266</v>
      </c>
      <c r="N3" s="241" t="s">
        <v>267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262</v>
      </c>
      <c r="F4" s="243" t="s">
        <v>116</v>
      </c>
      <c r="G4" s="245" t="s">
        <v>263</v>
      </c>
      <c r="H4" s="247" t="s">
        <v>264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273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265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51"/>
      <c r="H78" s="251"/>
      <c r="I78" s="251"/>
      <c r="J78" s="25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52"/>
      <c r="O79" s="252"/>
    </row>
    <row r="80" spans="3:15" ht="15.75">
      <c r="C80" s="111">
        <v>42152</v>
      </c>
      <c r="D80" s="34">
        <v>5845.4</v>
      </c>
      <c r="F80" s="155" t="s">
        <v>166</v>
      </c>
      <c r="G80" s="253"/>
      <c r="H80" s="253"/>
      <c r="I80" s="177"/>
      <c r="J80" s="254"/>
      <c r="K80" s="254"/>
      <c r="L80" s="254"/>
      <c r="M80" s="254"/>
      <c r="N80" s="252"/>
      <c r="O80" s="252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58"/>
      <c r="K81" s="258"/>
      <c r="L81" s="258"/>
      <c r="M81" s="258"/>
      <c r="N81" s="252"/>
      <c r="O81" s="252"/>
    </row>
    <row r="82" spans="7:13" ht="15.75" customHeight="1">
      <c r="G82" s="266" t="s">
        <v>234</v>
      </c>
      <c r="H82" s="267"/>
      <c r="I82" s="103">
        <v>0</v>
      </c>
      <c r="J82" s="254"/>
      <c r="K82" s="254"/>
      <c r="L82" s="254"/>
      <c r="M82" s="254"/>
    </row>
    <row r="83" spans="2:13" ht="18.75" customHeight="1">
      <c r="B83" s="260" t="s">
        <v>160</v>
      </c>
      <c r="C83" s="261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54"/>
      <c r="K83" s="254"/>
      <c r="L83" s="254"/>
      <c r="M83" s="254"/>
    </row>
    <row r="84" spans="7:12" ht="9.75" customHeight="1">
      <c r="G84" s="253"/>
      <c r="H84" s="253"/>
      <c r="I84" s="90"/>
      <c r="J84" s="91"/>
      <c r="K84" s="91"/>
      <c r="L84" s="91"/>
    </row>
    <row r="85" spans="2:12" ht="22.5" customHeight="1" hidden="1">
      <c r="B85" s="262" t="s">
        <v>167</v>
      </c>
      <c r="C85" s="263"/>
      <c r="D85" s="110">
        <v>0</v>
      </c>
      <c r="E85" s="70" t="s">
        <v>104</v>
      </c>
      <c r="G85" s="253"/>
      <c r="H85" s="253"/>
      <c r="I85" s="90"/>
      <c r="J85" s="91"/>
      <c r="K85" s="91"/>
      <c r="L85" s="91"/>
    </row>
    <row r="86" spans="4:15" ht="15.75">
      <c r="D86" s="105"/>
      <c r="N86" s="253"/>
      <c r="O86" s="253"/>
    </row>
    <row r="87" spans="4:15" ht="15.75">
      <c r="D87" s="104"/>
      <c r="I87" s="34"/>
      <c r="N87" s="264"/>
      <c r="O87" s="264"/>
    </row>
    <row r="88" spans="14:15" ht="15.75">
      <c r="N88" s="253"/>
      <c r="O88" s="25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261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240</v>
      </c>
      <c r="N3" s="241" t="s">
        <v>241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237</v>
      </c>
      <c r="F4" s="271" t="s">
        <v>116</v>
      </c>
      <c r="G4" s="245" t="s">
        <v>238</v>
      </c>
      <c r="H4" s="247" t="s">
        <v>239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260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72"/>
      <c r="G5" s="246"/>
      <c r="H5" s="248"/>
      <c r="I5" s="250"/>
      <c r="J5" s="240"/>
      <c r="K5" s="226" t="s">
        <v>242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51"/>
      <c r="H103" s="251"/>
      <c r="I103" s="251"/>
      <c r="J103" s="25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52"/>
      <c r="O104" s="252"/>
    </row>
    <row r="105" spans="3:15" ht="15.75">
      <c r="C105" s="111">
        <v>42123</v>
      </c>
      <c r="D105" s="34">
        <v>7959.6</v>
      </c>
      <c r="F105" s="201" t="s">
        <v>166</v>
      </c>
      <c r="G105" s="253"/>
      <c r="H105" s="253"/>
      <c r="I105" s="177"/>
      <c r="J105" s="254"/>
      <c r="K105" s="254"/>
      <c r="L105" s="254"/>
      <c r="M105" s="254"/>
      <c r="N105" s="252"/>
      <c r="O105" s="252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58"/>
      <c r="K106" s="258"/>
      <c r="L106" s="258"/>
      <c r="M106" s="258"/>
      <c r="N106" s="252"/>
      <c r="O106" s="252"/>
    </row>
    <row r="107" spans="7:13" ht="15.75" customHeight="1">
      <c r="G107" s="266" t="s">
        <v>234</v>
      </c>
      <c r="H107" s="267"/>
      <c r="I107" s="103">
        <v>0</v>
      </c>
      <c r="J107" s="254"/>
      <c r="K107" s="254"/>
      <c r="L107" s="254"/>
      <c r="M107" s="254"/>
    </row>
    <row r="108" spans="2:13" ht="18.75" customHeight="1">
      <c r="B108" s="260" t="s">
        <v>160</v>
      </c>
      <c r="C108" s="261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54"/>
      <c r="K108" s="254"/>
      <c r="L108" s="254"/>
      <c r="M108" s="254"/>
    </row>
    <row r="109" spans="7:12" ht="9.75" customHeight="1">
      <c r="G109" s="253"/>
      <c r="H109" s="253"/>
      <c r="I109" s="90"/>
      <c r="J109" s="91"/>
      <c r="K109" s="91"/>
      <c r="L109" s="91"/>
    </row>
    <row r="110" spans="2:12" ht="22.5" customHeight="1" hidden="1">
      <c r="B110" s="262" t="s">
        <v>167</v>
      </c>
      <c r="C110" s="263"/>
      <c r="D110" s="110">
        <v>0</v>
      </c>
      <c r="E110" s="70" t="s">
        <v>104</v>
      </c>
      <c r="G110" s="253"/>
      <c r="H110" s="253"/>
      <c r="I110" s="90"/>
      <c r="J110" s="91"/>
      <c r="K110" s="91"/>
      <c r="L110" s="91"/>
    </row>
    <row r="111" spans="4:15" ht="15.75">
      <c r="D111" s="105"/>
      <c r="N111" s="253"/>
      <c r="O111" s="253"/>
    </row>
    <row r="112" spans="4:15" ht="15.75">
      <c r="D112" s="104"/>
      <c r="I112" s="34"/>
      <c r="N112" s="264"/>
      <c r="O112" s="264"/>
    </row>
    <row r="113" spans="14:15" ht="15.75">
      <c r="N113" s="253"/>
      <c r="O113" s="25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235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/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231</v>
      </c>
      <c r="N3" s="241" t="s">
        <v>232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228</v>
      </c>
      <c r="F4" s="243" t="s">
        <v>116</v>
      </c>
      <c r="G4" s="245" t="s">
        <v>229</v>
      </c>
      <c r="H4" s="247" t="s">
        <v>230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236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233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52"/>
      <c r="O105" s="252"/>
    </row>
    <row r="106" spans="3:15" ht="15.75">
      <c r="C106" s="111">
        <v>42093</v>
      </c>
      <c r="D106" s="34">
        <v>8025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66" t="s">
        <v>234</v>
      </c>
      <c r="H108" s="267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28" t="s">
        <v>227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117"/>
      <c r="R1" s="118"/>
    </row>
    <row r="2" spans="2:18" s="1" customFormat="1" ht="15.75" customHeight="1">
      <c r="B2" s="229"/>
      <c r="C2" s="229"/>
      <c r="D2" s="22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0"/>
      <c r="B3" s="232" t="s">
        <v>205</v>
      </c>
      <c r="C3" s="233" t="s">
        <v>0</v>
      </c>
      <c r="D3" s="234" t="s">
        <v>216</v>
      </c>
      <c r="E3" s="40"/>
      <c r="F3" s="235" t="s">
        <v>107</v>
      </c>
      <c r="G3" s="236"/>
      <c r="H3" s="236"/>
      <c r="I3" s="236"/>
      <c r="J3" s="237"/>
      <c r="K3" s="114"/>
      <c r="L3" s="114"/>
      <c r="M3" s="238" t="s">
        <v>221</v>
      </c>
      <c r="N3" s="241" t="s">
        <v>202</v>
      </c>
      <c r="O3" s="241"/>
      <c r="P3" s="241"/>
      <c r="Q3" s="241"/>
      <c r="R3" s="241"/>
    </row>
    <row r="4" spans="1:18" ht="22.5" customHeight="1">
      <c r="A4" s="230"/>
      <c r="B4" s="232"/>
      <c r="C4" s="233"/>
      <c r="D4" s="234"/>
      <c r="E4" s="242" t="s">
        <v>199</v>
      </c>
      <c r="F4" s="243" t="s">
        <v>116</v>
      </c>
      <c r="G4" s="245" t="s">
        <v>200</v>
      </c>
      <c r="H4" s="247" t="s">
        <v>201</v>
      </c>
      <c r="I4" s="249" t="s">
        <v>217</v>
      </c>
      <c r="J4" s="239" t="s">
        <v>218</v>
      </c>
      <c r="K4" s="116" t="s">
        <v>172</v>
      </c>
      <c r="L4" s="121" t="s">
        <v>171</v>
      </c>
      <c r="M4" s="239"/>
      <c r="N4" s="255" t="s">
        <v>226</v>
      </c>
      <c r="O4" s="249" t="s">
        <v>136</v>
      </c>
      <c r="P4" s="257" t="s">
        <v>135</v>
      </c>
      <c r="Q4" s="122" t="s">
        <v>172</v>
      </c>
      <c r="R4" s="123" t="s">
        <v>171</v>
      </c>
    </row>
    <row r="5" spans="1:19" ht="92.25" customHeight="1">
      <c r="A5" s="231"/>
      <c r="B5" s="232"/>
      <c r="C5" s="233"/>
      <c r="D5" s="234"/>
      <c r="E5" s="225"/>
      <c r="F5" s="244"/>
      <c r="G5" s="246"/>
      <c r="H5" s="248"/>
      <c r="I5" s="250"/>
      <c r="J5" s="240"/>
      <c r="K5" s="226" t="s">
        <v>224</v>
      </c>
      <c r="L5" s="227"/>
      <c r="M5" s="240"/>
      <c r="N5" s="256"/>
      <c r="O5" s="250"/>
      <c r="P5" s="257"/>
      <c r="Q5" s="226" t="s">
        <v>176</v>
      </c>
      <c r="R5" s="227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51"/>
      <c r="H104" s="251"/>
      <c r="I104" s="251"/>
      <c r="J104" s="25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52"/>
      <c r="O105" s="252"/>
    </row>
    <row r="106" spans="3:15" ht="15.75">
      <c r="C106" s="111">
        <v>42061</v>
      </c>
      <c r="D106" s="34">
        <v>6003.3</v>
      </c>
      <c r="F106" s="155" t="s">
        <v>166</v>
      </c>
      <c r="G106" s="253"/>
      <c r="H106" s="253"/>
      <c r="I106" s="177"/>
      <c r="J106" s="254"/>
      <c r="K106" s="254"/>
      <c r="L106" s="254"/>
      <c r="M106" s="254"/>
      <c r="N106" s="252"/>
      <c r="O106" s="252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58"/>
      <c r="K107" s="258"/>
      <c r="L107" s="258"/>
      <c r="M107" s="258"/>
      <c r="N107" s="252"/>
      <c r="O107" s="252"/>
    </row>
    <row r="108" spans="7:13" ht="15.75" customHeight="1">
      <c r="G108" s="273" t="s">
        <v>155</v>
      </c>
      <c r="H108" s="273"/>
      <c r="I108" s="103">
        <v>0</v>
      </c>
      <c r="J108" s="254"/>
      <c r="K108" s="254"/>
      <c r="L108" s="254"/>
      <c r="M108" s="254"/>
    </row>
    <row r="109" spans="2:13" ht="18.75" customHeight="1">
      <c r="B109" s="260" t="s">
        <v>160</v>
      </c>
      <c r="C109" s="261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54"/>
      <c r="K109" s="254"/>
      <c r="L109" s="254"/>
      <c r="M109" s="254"/>
    </row>
    <row r="110" spans="7:12" ht="9.75" customHeight="1">
      <c r="G110" s="253"/>
      <c r="H110" s="253"/>
      <c r="I110" s="90"/>
      <c r="J110" s="91"/>
      <c r="K110" s="91"/>
      <c r="L110" s="91"/>
    </row>
    <row r="111" spans="2:12" ht="22.5" customHeight="1" hidden="1">
      <c r="B111" s="262" t="s">
        <v>167</v>
      </c>
      <c r="C111" s="263"/>
      <c r="D111" s="110">
        <v>0</v>
      </c>
      <c r="E111" s="70" t="s">
        <v>104</v>
      </c>
      <c r="G111" s="253"/>
      <c r="H111" s="253"/>
      <c r="I111" s="90"/>
      <c r="J111" s="91"/>
      <c r="K111" s="91"/>
      <c r="L111" s="91"/>
    </row>
    <row r="112" spans="4:15" ht="15.75">
      <c r="D112" s="105"/>
      <c r="N112" s="253"/>
      <c r="O112" s="253"/>
    </row>
    <row r="113" spans="4:15" ht="15.75">
      <c r="D113" s="104"/>
      <c r="I113" s="34"/>
      <c r="N113" s="264"/>
      <c r="O113" s="264"/>
    </row>
    <row r="114" spans="14:15" ht="15.75">
      <c r="N114" s="253"/>
      <c r="O114" s="25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2015-10-21T09:39:52Z</cp:lastPrinted>
  <dcterms:created xsi:type="dcterms:W3CDTF">2003-07-28T11:27:56Z</dcterms:created>
  <dcterms:modified xsi:type="dcterms:W3CDTF">2015-10-21T09:50:05Z</dcterms:modified>
  <cp:category/>
  <cp:version/>
  <cp:contentType/>
  <cp:contentStatus/>
</cp:coreProperties>
</file>